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1680" yWindow="3516" windowWidth="19416" windowHeight="11016" tabRatio="500"/>
  </bookViews>
  <sheets>
    <sheet name="Рентабельность от аренды" sheetId="1" r:id="rId1"/>
  </sheets>
  <definedNames>
    <definedName name="_xlnm.Print_Area" localSheetId="0">'Рентабельность от аренды'!$A$1:$K$44</definedName>
  </definedNames>
  <calcPr calcId="114210"/>
</workbook>
</file>

<file path=xl/calcChain.xml><?xml version="1.0" encoding="utf-8"?>
<calcChain xmlns="http://schemas.openxmlformats.org/spreadsheetml/2006/main">
  <c r="I14" i="1"/>
  <c r="E44"/>
  <c r="E38"/>
  <c r="E36"/>
  <c r="E32"/>
  <c r="C31"/>
  <c r="E30"/>
  <c r="C29"/>
  <c r="C25"/>
  <c r="C24"/>
  <c r="C23"/>
  <c r="C22"/>
  <c r="C21"/>
  <c r="C20"/>
  <c r="C19"/>
  <c r="C18"/>
  <c r="C17"/>
  <c r="C16"/>
  <c r="C15"/>
  <c r="C14"/>
  <c r="E39"/>
  <c r="E14"/>
  <c r="E15"/>
  <c r="E16"/>
  <c r="E17"/>
  <c r="E18"/>
  <c r="E19"/>
  <c r="E20"/>
  <c r="E21"/>
  <c r="E22"/>
  <c r="E23"/>
  <c r="E24"/>
  <c r="E25"/>
  <c r="C26"/>
  <c r="E27"/>
  <c r="E28"/>
  <c r="E29"/>
  <c r="E31"/>
  <c r="E33"/>
  <c r="E34"/>
  <c r="E37"/>
  <c r="E41"/>
  <c r="J4"/>
  <c r="B9"/>
  <c r="E9"/>
  <c r="D9"/>
  <c r="E10"/>
  <c r="H9"/>
  <c r="J9"/>
  <c r="K10"/>
  <c r="K14"/>
  <c r="I15"/>
  <c r="K15"/>
  <c r="I16"/>
  <c r="K16"/>
  <c r="I17"/>
  <c r="K17"/>
  <c r="I18"/>
  <c r="K18"/>
  <c r="I19"/>
  <c r="K19"/>
  <c r="I20"/>
  <c r="K20"/>
  <c r="I21"/>
  <c r="K21"/>
  <c r="I22"/>
  <c r="K22"/>
  <c r="I23"/>
  <c r="K23"/>
  <c r="I24"/>
  <c r="K24"/>
  <c r="I25"/>
  <c r="K25"/>
  <c r="I26"/>
  <c r="K27"/>
  <c r="K28"/>
  <c r="I29"/>
  <c r="K29"/>
  <c r="K30"/>
  <c r="I31"/>
  <c r="K31"/>
  <c r="K32"/>
  <c r="K33"/>
  <c r="K34"/>
  <c r="K36"/>
  <c r="K37"/>
  <c r="K44"/>
  <c r="I9"/>
  <c r="H14"/>
  <c r="H15"/>
  <c r="H16"/>
  <c r="H17"/>
  <c r="H18"/>
  <c r="H19"/>
  <c r="H20"/>
  <c r="H21"/>
  <c r="H22"/>
  <c r="H23"/>
  <c r="H24"/>
  <c r="H25"/>
  <c r="J27"/>
  <c r="G11"/>
  <c r="E11"/>
  <c r="G9"/>
  <c r="J28"/>
  <c r="J29"/>
  <c r="J31"/>
  <c r="J36"/>
  <c r="K38"/>
  <c r="K35"/>
  <c r="E42"/>
  <c r="E35"/>
  <c r="K11"/>
  <c r="G8"/>
  <c r="G28"/>
  <c r="G27"/>
  <c r="J14"/>
  <c r="G26"/>
  <c r="A26"/>
  <c r="I36"/>
  <c r="I28"/>
  <c r="I27"/>
  <c r="H30"/>
  <c r="H31"/>
  <c r="H32"/>
  <c r="H33"/>
  <c r="H29"/>
  <c r="H27"/>
  <c r="G36"/>
  <c r="G34"/>
  <c r="G29"/>
  <c r="G30"/>
  <c r="G31"/>
  <c r="G32"/>
  <c r="G33"/>
  <c r="G25"/>
  <c r="G24"/>
  <c r="G23"/>
  <c r="G22"/>
  <c r="G21"/>
  <c r="G20"/>
  <c r="G19"/>
  <c r="G18"/>
  <c r="G17"/>
  <c r="G16"/>
  <c r="G15"/>
  <c r="G14"/>
  <c r="K13"/>
  <c r="J13"/>
  <c r="I13"/>
  <c r="H12"/>
  <c r="G12"/>
  <c r="I12"/>
  <c r="I8"/>
  <c r="H8"/>
  <c r="J23"/>
  <c r="J24"/>
  <c r="J25"/>
  <c r="J22"/>
  <c r="D25"/>
  <c r="D24"/>
  <c r="D23"/>
  <c r="D22"/>
  <c r="D21"/>
  <c r="D20"/>
  <c r="D19"/>
  <c r="D18"/>
  <c r="D17"/>
  <c r="D16"/>
  <c r="D15"/>
  <c r="D14"/>
  <c r="J21"/>
  <c r="J16"/>
  <c r="J19"/>
  <c r="J15"/>
  <c r="J20"/>
  <c r="J17"/>
  <c r="J18"/>
</calcChain>
</file>

<file path=xl/sharedStrings.xml><?xml version="1.0" encoding="utf-8"?>
<sst xmlns="http://schemas.openxmlformats.org/spreadsheetml/2006/main" count="69" uniqueCount="64">
  <si>
    <t>Цена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</si>
  <si>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</si>
  <si>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</si>
  <si>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</si>
  <si>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</si>
  <si>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</si>
  <si>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</si>
  <si>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</si>
  <si>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</si>
  <si>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</si>
  <si>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</si>
  <si>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</si>
  <si>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</si>
  <si>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</si>
  <si>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</si>
  <si>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</si>
  <si>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</si>
  <si>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</si>
  <si>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</si>
  <si>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</si>
  <si>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</si>
  <si>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</si>
  <si>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КАПИТАЛИЗАЦИЯ: они тоже вкладываются в жильё и идет увеличение стоимости объекта</t>
  </si>
  <si>
    <t>МИНИМУМ!!!</t>
  </si>
  <si>
    <t>20 лет</t>
  </si>
  <si>
    <t>в год</t>
  </si>
  <si>
    <t>ДОХОД1</t>
  </si>
  <si>
    <t>Итого расходы</t>
  </si>
  <si>
    <t>ДОХОД2</t>
  </si>
  <si>
    <t>ДОХОД3</t>
  </si>
  <si>
    <t>ДОХОД3 - Чистый доход с учетом выплат налогов</t>
  </si>
  <si>
    <t>страховка</t>
  </si>
  <si>
    <t>за сутки</t>
  </si>
  <si>
    <t>комунидад+ интернет</t>
  </si>
  <si>
    <t>рентабельность на затраты на покупку с учетом выплат налогов</t>
  </si>
  <si>
    <t>рентабельность на затраты на покупку с годовыми выплатами без налога</t>
  </si>
  <si>
    <t>Взнос в банк 40%</t>
  </si>
  <si>
    <t>Налоги и расходы на покупку</t>
  </si>
  <si>
    <t>рентабельность на затраты на покупку с годовыми выплатами без налогов и без выплат по ипотеке</t>
  </si>
  <si>
    <t xml:space="preserve">выплаты по ипотеке в месяц </t>
  </si>
  <si>
    <t>ДОХОД4 - Чистый доход с учетом ипотечных выплат и налогов</t>
  </si>
  <si>
    <t>рентабельность на затраты на покупку с годовыми выплатами по ипотеке и налогов</t>
  </si>
  <si>
    <t>РАСЧЁТ РЕНТАБЕЛЬНОСТИ ОТ СДАЧИ В АРЕНДУ НА ВЛОЖЕНИЯ (СДАЧА В АРЕНДУ ЧЕРЕЗ АГЕНТСТВО)</t>
  </si>
  <si>
    <t>ПОКУПКА С ИПОТЕКОЙ 60%</t>
  </si>
  <si>
    <t>ПОКУПКА БЕЗ ИПОТЕКИ</t>
  </si>
  <si>
    <t>Затраты на покупку -
40%+13,5%=53,5% - вложения с ипотекой</t>
  </si>
  <si>
    <t>Затраты на покупку -
100% + 13,5% = 113,5% - вложения без ипотеки</t>
  </si>
  <si>
    <t>Общая стоимость апартотеля вместе с налогами и расходами на покупку</t>
  </si>
  <si>
    <r>
      <t xml:space="preserve">выплаты по ипотеке в год </t>
    </r>
    <r>
      <rPr>
        <sz val="11"/>
        <rFont val="Calibri"/>
        <family val="2"/>
        <charset val="204"/>
      </rPr>
      <t>(ипотека 60% от стоимости недвижимости)</t>
    </r>
  </si>
  <si>
    <t>Апартаменты 1А</t>
  </si>
  <si>
    <t>Апартаменты 1В</t>
  </si>
  <si>
    <t>Апартаменты 1С</t>
  </si>
  <si>
    <t>Апартаменты GF-A</t>
  </si>
  <si>
    <t>Апартаменты GF-B</t>
  </si>
  <si>
    <t>Апартаменты GF-C</t>
  </si>
  <si>
    <t>Апаратменты GF-D</t>
  </si>
  <si>
    <t>Пентхаус A</t>
  </si>
  <si>
    <t>Апартаменты 1D</t>
  </si>
  <si>
    <t>ОКУПАЕМОСТЬ ВЛОЖЕННЫХ СРЕДСТВ (лет)
(затраты на покупку/Доход 3)</t>
  </si>
  <si>
    <t>ОКУПАЕМОСТЬ ВЛОЖЕННЫХ СРЕДСТВ (лет)
((затраты на покупку+выплаты по ипотеке)/Доход 4)</t>
  </si>
  <si>
    <t>27 спален</t>
  </si>
  <si>
    <t>Апартотель
9 апартаментов</t>
  </si>
  <si>
    <t xml:space="preserve">ИТОГО 9 АПАРТАМЕНТОВ </t>
  </si>
  <si>
    <t>стоимость аренды за 9 апартаментов</t>
  </si>
</sst>
</file>

<file path=xl/styles.xml><?xml version="1.0" encoding="utf-8"?>
<styleSheet xmlns="http://schemas.openxmlformats.org/spreadsheetml/2006/main">
  <numFmts count="3">
    <numFmt numFmtId="164" formatCode="0.0%"/>
    <numFmt numFmtId="165" formatCode="#,##0\ [$€-1]"/>
    <numFmt numFmtId="166" formatCode="#,##0.0"/>
  </numFmts>
  <fonts count="20"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0" fontId="10" fillId="0" borderId="6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9" fontId="8" fillId="0" borderId="3" xfId="0" applyNumberFormat="1" applyFont="1" applyBorder="1" applyAlignment="1">
      <alignment horizontal="right" vertical="center"/>
    </xf>
    <xf numFmtId="9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165" fontId="2" fillId="0" borderId="1" xfId="0" applyNumberFormat="1" applyFont="1" applyBorder="1" applyAlignment="1">
      <alignment horizontal="right" vertical="center"/>
    </xf>
    <xf numFmtId="165" fontId="2" fillId="0" borderId="13" xfId="0" applyNumberFormat="1" applyFont="1" applyBorder="1" applyAlignment="1">
      <alignment vertical="center"/>
    </xf>
    <xf numFmtId="165" fontId="8" fillId="0" borderId="2" xfId="0" applyNumberFormat="1" applyFont="1" applyBorder="1" applyAlignment="1">
      <alignment horizontal="right" vertical="center"/>
    </xf>
    <xf numFmtId="165" fontId="8" fillId="0" borderId="3" xfId="0" applyNumberFormat="1" applyFont="1" applyBorder="1" applyAlignment="1">
      <alignment horizontal="right" vertical="center"/>
    </xf>
    <xf numFmtId="165" fontId="8" fillId="2" borderId="3" xfId="0" applyNumberFormat="1" applyFont="1" applyFill="1" applyBorder="1" applyAlignment="1">
      <alignment horizontal="right" vertical="center"/>
    </xf>
    <xf numFmtId="165" fontId="8" fillId="3" borderId="3" xfId="0" applyNumberFormat="1" applyFont="1" applyFill="1" applyBorder="1" applyAlignment="1">
      <alignment horizontal="right" vertical="center"/>
    </xf>
    <xf numFmtId="165" fontId="3" fillId="0" borderId="14" xfId="0" applyNumberFormat="1" applyFont="1" applyBorder="1" applyAlignment="1">
      <alignment horizontal="right" vertical="center"/>
    </xf>
    <xf numFmtId="165" fontId="4" fillId="0" borderId="14" xfId="0" applyNumberFormat="1" applyFont="1" applyBorder="1" applyAlignment="1">
      <alignment horizontal="right" vertical="center"/>
    </xf>
    <xf numFmtId="165" fontId="7" fillId="0" borderId="14" xfId="0" applyNumberFormat="1" applyFont="1" applyBorder="1" applyAlignment="1">
      <alignment horizontal="right" vertical="center"/>
    </xf>
    <xf numFmtId="165" fontId="7" fillId="0" borderId="15" xfId="0" applyNumberFormat="1" applyFont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5" fontId="3" fillId="0" borderId="15" xfId="0" applyNumberFormat="1" applyFont="1" applyBorder="1" applyAlignment="1">
      <alignment horizontal="right" vertical="center"/>
    </xf>
    <xf numFmtId="165" fontId="12" fillId="0" borderId="17" xfId="0" applyNumberFormat="1" applyFont="1" applyBorder="1" applyAlignment="1">
      <alignment horizontal="right" vertical="center"/>
    </xf>
    <xf numFmtId="165" fontId="0" fillId="0" borderId="5" xfId="0" applyNumberFormat="1" applyBorder="1" applyAlignment="1">
      <alignment horizontal="right" vertical="center"/>
    </xf>
    <xf numFmtId="165" fontId="7" fillId="0" borderId="15" xfId="0" applyNumberFormat="1" applyFont="1" applyBorder="1" applyAlignment="1">
      <alignment vertical="center"/>
    </xf>
    <xf numFmtId="165" fontId="8" fillId="4" borderId="3" xfId="0" applyNumberFormat="1" applyFont="1" applyFill="1" applyBorder="1" applyAlignment="1">
      <alignment horizontal="right" vertical="center"/>
    </xf>
    <xf numFmtId="165" fontId="8" fillId="5" borderId="3" xfId="0" applyNumberFormat="1" applyFont="1" applyFill="1" applyBorder="1" applyAlignment="1">
      <alignment horizontal="right" vertical="center"/>
    </xf>
    <xf numFmtId="165" fontId="12" fillId="0" borderId="3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165" fontId="15" fillId="0" borderId="4" xfId="0" applyNumberFormat="1" applyFont="1" applyBorder="1" applyAlignment="1">
      <alignment vertical="center"/>
    </xf>
    <xf numFmtId="165" fontId="6" fillId="0" borderId="4" xfId="0" applyNumberFormat="1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165" fontId="4" fillId="0" borderId="3" xfId="0" applyNumberFormat="1" applyFont="1" applyBorder="1" applyAlignment="1">
      <alignment horizontal="right" vertical="center"/>
    </xf>
    <xf numFmtId="0" fontId="0" fillId="0" borderId="19" xfId="0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165" fontId="6" fillId="0" borderId="20" xfId="0" applyNumberFormat="1" applyFont="1" applyBorder="1" applyAlignment="1">
      <alignment vertical="center"/>
    </xf>
    <xf numFmtId="0" fontId="17" fillId="6" borderId="21" xfId="0" applyFont="1" applyFill="1" applyBorder="1" applyAlignment="1">
      <alignment vertical="center"/>
    </xf>
    <xf numFmtId="0" fontId="18" fillId="6" borderId="22" xfId="0" applyFont="1" applyFill="1" applyBorder="1" applyAlignment="1">
      <alignment vertical="center"/>
    </xf>
    <xf numFmtId="0" fontId="18" fillId="6" borderId="23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0" fillId="0" borderId="8" xfId="0" applyBorder="1" applyAlignment="1"/>
    <xf numFmtId="0" fontId="4" fillId="6" borderId="23" xfId="0" applyFont="1" applyFill="1" applyBorder="1" applyAlignment="1">
      <alignment horizontal="center" vertical="center" wrapText="1"/>
    </xf>
    <xf numFmtId="164" fontId="4" fillId="0" borderId="4" xfId="0" applyNumberFormat="1" applyFont="1" applyBorder="1" applyAlignment="1">
      <alignment vertical="center"/>
    </xf>
    <xf numFmtId="165" fontId="2" fillId="0" borderId="25" xfId="0" applyNumberFormat="1" applyFont="1" applyBorder="1" applyAlignment="1">
      <alignment horizontal="right" vertical="center"/>
    </xf>
    <xf numFmtId="165" fontId="2" fillId="0" borderId="26" xfId="0" applyNumberFormat="1" applyFont="1" applyBorder="1" applyAlignment="1">
      <alignment vertical="center"/>
    </xf>
    <xf numFmtId="0" fontId="8" fillId="0" borderId="25" xfId="0" applyFont="1" applyBorder="1" applyAlignment="1">
      <alignment horizontal="center" vertical="center"/>
    </xf>
    <xf numFmtId="165" fontId="8" fillId="0" borderId="27" xfId="0" applyNumberFormat="1" applyFont="1" applyBorder="1" applyAlignment="1">
      <alignment horizontal="right" vertical="center"/>
    </xf>
    <xf numFmtId="165" fontId="8" fillId="0" borderId="28" xfId="0" applyNumberFormat="1" applyFont="1" applyBorder="1" applyAlignment="1">
      <alignment horizontal="right" vertical="center"/>
    </xf>
    <xf numFmtId="165" fontId="3" fillId="0" borderId="29" xfId="0" applyNumberFormat="1" applyFont="1" applyBorder="1" applyAlignment="1">
      <alignment horizontal="right" vertical="center"/>
    </xf>
    <xf numFmtId="165" fontId="4" fillId="0" borderId="29" xfId="0" applyNumberFormat="1" applyFont="1" applyBorder="1" applyAlignment="1">
      <alignment horizontal="right" vertical="center"/>
    </xf>
    <xf numFmtId="165" fontId="7" fillId="0" borderId="30" xfId="0" applyNumberFormat="1" applyFont="1" applyBorder="1" applyAlignment="1">
      <alignment horizontal="right" vertical="center"/>
    </xf>
    <xf numFmtId="165" fontId="4" fillId="0" borderId="31" xfId="0" applyNumberFormat="1" applyFont="1" applyBorder="1" applyAlignment="1">
      <alignment horizontal="right" vertical="center"/>
    </xf>
    <xf numFmtId="165" fontId="3" fillId="0" borderId="30" xfId="0" applyNumberFormat="1" applyFont="1" applyBorder="1" applyAlignment="1">
      <alignment horizontal="right" vertical="center"/>
    </xf>
    <xf numFmtId="166" fontId="4" fillId="0" borderId="3" xfId="0" applyNumberFormat="1" applyFont="1" applyBorder="1" applyAlignment="1">
      <alignment horizontal="center" vertical="center"/>
    </xf>
    <xf numFmtId="165" fontId="4" fillId="0" borderId="32" xfId="0" applyNumberFormat="1" applyFont="1" applyBorder="1" applyAlignment="1">
      <alignment horizontal="left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165" fontId="15" fillId="0" borderId="0" xfId="0" applyNumberFormat="1" applyFont="1" applyBorder="1" applyAlignment="1">
      <alignment vertical="center"/>
    </xf>
    <xf numFmtId="0" fontId="4" fillId="0" borderId="3" xfId="0" applyFont="1" applyBorder="1" applyAlignment="1"/>
    <xf numFmtId="165" fontId="15" fillId="0" borderId="3" xfId="0" applyNumberFormat="1" applyFont="1" applyBorder="1" applyAlignment="1">
      <alignment horizontal="center" vertical="center"/>
    </xf>
    <xf numFmtId="0" fontId="4" fillId="0" borderId="3" xfId="0" applyFont="1" applyBorder="1"/>
    <xf numFmtId="165" fontId="19" fillId="7" borderId="3" xfId="0" applyNumberFormat="1" applyFont="1" applyFill="1" applyBorder="1" applyAlignment="1">
      <alignment vertical="center"/>
    </xf>
    <xf numFmtId="165" fontId="8" fillId="0" borderId="8" xfId="0" applyNumberFormat="1" applyFont="1" applyBorder="1" applyAlignment="1">
      <alignment horizontal="right" vertical="center"/>
    </xf>
    <xf numFmtId="165" fontId="12" fillId="0" borderId="14" xfId="0" applyNumberFormat="1" applyFont="1" applyBorder="1" applyAlignment="1">
      <alignment horizontal="right" vertical="center"/>
    </xf>
    <xf numFmtId="0" fontId="4" fillId="0" borderId="33" xfId="0" applyFont="1" applyBorder="1"/>
    <xf numFmtId="165" fontId="7" fillId="0" borderId="37" xfId="0" applyNumberFormat="1" applyFont="1" applyBorder="1" applyAlignment="1">
      <alignment horizontal="right" vertical="center"/>
    </xf>
    <xf numFmtId="165" fontId="0" fillId="0" borderId="38" xfId="0" applyNumberFormat="1" applyBorder="1" applyAlignment="1">
      <alignment vertical="center"/>
    </xf>
    <xf numFmtId="165" fontId="0" fillId="0" borderId="14" xfId="0" applyNumberFormat="1" applyBorder="1" applyAlignment="1">
      <alignment vertical="center"/>
    </xf>
    <xf numFmtId="0" fontId="4" fillId="0" borderId="35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3" fillId="0" borderId="35" xfId="0" applyFont="1" applyBorder="1" applyAlignment="1">
      <alignment horizontal="right" vertical="center"/>
    </xf>
    <xf numFmtId="0" fontId="0" fillId="0" borderId="14" xfId="0" applyBorder="1" applyAlignment="1">
      <alignment vertical="center"/>
    </xf>
    <xf numFmtId="0" fontId="8" fillId="0" borderId="37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7" fillId="0" borderId="46" xfId="0" applyFont="1" applyBorder="1" applyAlignment="1">
      <alignment vertical="center" wrapText="1"/>
    </xf>
    <xf numFmtId="0" fontId="7" fillId="0" borderId="47" xfId="0" applyFont="1" applyBorder="1" applyAlignment="1">
      <alignment vertical="center" wrapText="1"/>
    </xf>
    <xf numFmtId="0" fontId="7" fillId="0" borderId="48" xfId="0" applyFont="1" applyBorder="1" applyAlignment="1">
      <alignment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37" xfId="0" applyFont="1" applyBorder="1" applyAlignment="1">
      <alignment vertical="center"/>
    </xf>
    <xf numFmtId="0" fontId="0" fillId="0" borderId="38" xfId="0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165" fontId="0" fillId="0" borderId="29" xfId="0" applyNumberForma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8" fillId="0" borderId="45" xfId="0" applyFont="1" applyBorder="1" applyAlignment="1">
      <alignment horizontal="center"/>
    </xf>
    <xf numFmtId="0" fontId="0" fillId="0" borderId="45" xfId="0" applyBorder="1" applyAlignment="1"/>
    <xf numFmtId="0" fontId="8" fillId="0" borderId="1" xfId="0" applyFont="1" applyBorder="1" applyAlignment="1">
      <alignment horizontal="center"/>
    </xf>
    <xf numFmtId="0" fontId="0" fillId="0" borderId="1" xfId="0" applyBorder="1" applyAlignment="1"/>
    <xf numFmtId="0" fontId="4" fillId="0" borderId="46" xfId="0" applyFont="1" applyBorder="1" applyAlignment="1">
      <alignment vertical="center" wrapText="1"/>
    </xf>
    <xf numFmtId="0" fontId="0" fillId="0" borderId="47" xfId="0" applyBorder="1" applyAlignment="1">
      <alignment vertical="center" wrapText="1"/>
    </xf>
    <xf numFmtId="0" fontId="0" fillId="0" borderId="48" xfId="0" applyBorder="1" applyAlignment="1">
      <alignment vertical="center" wrapText="1"/>
    </xf>
    <xf numFmtId="0" fontId="8" fillId="0" borderId="46" xfId="0" applyFont="1" applyBorder="1" applyAlignment="1">
      <alignment vertical="center" wrapText="1"/>
    </xf>
    <xf numFmtId="0" fontId="5" fillId="0" borderId="35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4" fillId="0" borderId="3" xfId="0" applyFont="1" applyBorder="1" applyAlignment="1"/>
    <xf numFmtId="165" fontId="15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165" fontId="15" fillId="0" borderId="33" xfId="0" applyNumberFormat="1" applyFont="1" applyBorder="1" applyAlignment="1">
      <alignment horizontal="center" vertical="center"/>
    </xf>
    <xf numFmtId="0" fontId="0" fillId="0" borderId="33" xfId="0" applyBorder="1" applyAlignment="1">
      <alignment horizontal="center"/>
    </xf>
    <xf numFmtId="0" fontId="14" fillId="7" borderId="3" xfId="0" applyFont="1" applyFill="1" applyBorder="1" applyAlignment="1"/>
    <xf numFmtId="0" fontId="0" fillId="7" borderId="3" xfId="0" applyFill="1" applyBorder="1" applyAlignment="1"/>
    <xf numFmtId="0" fontId="17" fillId="6" borderId="44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16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5" fillId="0" borderId="39" xfId="0" applyFont="1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7" fillId="0" borderId="35" xfId="0" applyFont="1" applyBorder="1" applyAlignment="1">
      <alignment vertical="center"/>
    </xf>
    <xf numFmtId="0" fontId="0" fillId="0" borderId="38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12" fillId="0" borderId="35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9" fillId="0" borderId="41" xfId="0" applyFont="1" applyBorder="1" applyAlignment="1">
      <alignment vertical="center" wrapText="1"/>
    </xf>
    <xf numFmtId="0" fontId="9" fillId="0" borderId="42" xfId="0" applyFont="1" applyBorder="1" applyAlignment="1">
      <alignment vertical="center" wrapText="1"/>
    </xf>
    <xf numFmtId="0" fontId="9" fillId="0" borderId="43" xfId="0" applyFont="1" applyBorder="1" applyAlignment="1">
      <alignment vertical="center" wrapText="1"/>
    </xf>
    <xf numFmtId="0" fontId="13" fillId="0" borderId="36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7" fillId="0" borderId="35" xfId="0" applyFont="1" applyBorder="1" applyAlignment="1">
      <alignment vertical="center" wrapText="1"/>
    </xf>
    <xf numFmtId="0" fontId="7" fillId="0" borderId="38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4" fillId="0" borderId="35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9" fillId="0" borderId="7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37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37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4"/>
  <sheetViews>
    <sheetView tabSelected="1" showRuler="0" view="pageBreakPreview" zoomScaleNormal="100" zoomScaleSheetLayoutView="75" zoomScalePageLayoutView="89" workbookViewId="0">
      <selection activeCell="F8" sqref="F8"/>
    </sheetView>
  </sheetViews>
  <sheetFormatPr defaultColWidth="11.19921875" defaultRowHeight="15.6"/>
  <cols>
    <col min="1" max="1" width="14.3984375" style="1" customWidth="1"/>
    <col min="2" max="2" width="12.8984375" style="1" customWidth="1"/>
    <col min="3" max="3" width="7.796875" style="1" customWidth="1"/>
    <col min="4" max="4" width="9.69921875" style="1" customWidth="1"/>
    <col min="5" max="5" width="10.59765625" style="1" customWidth="1"/>
    <col min="6" max="6" width="15.5" style="1" customWidth="1"/>
    <col min="7" max="7" width="14.69921875" style="1" customWidth="1"/>
    <col min="8" max="8" width="13.19921875" style="1" customWidth="1"/>
    <col min="9" max="9" width="8.69921875" style="1" customWidth="1"/>
    <col min="10" max="10" width="10.3984375" style="1" customWidth="1"/>
    <col min="11" max="11" width="11.796875" style="1" customWidth="1"/>
  </cols>
  <sheetData>
    <row r="1" spans="1:11">
      <c r="A1" s="92" t="s">
        <v>49</v>
      </c>
      <c r="B1" s="93">
        <v>750000</v>
      </c>
      <c r="D1" s="129" t="s">
        <v>52</v>
      </c>
      <c r="E1" s="129"/>
      <c r="F1" s="93">
        <v>780000</v>
      </c>
      <c r="H1" s="94" t="s">
        <v>56</v>
      </c>
      <c r="I1" s="130">
        <v>1100000</v>
      </c>
      <c r="J1" s="131"/>
    </row>
    <row r="2" spans="1:11">
      <c r="A2" s="92" t="s">
        <v>50</v>
      </c>
      <c r="B2" s="93">
        <v>735000</v>
      </c>
      <c r="D2" s="129" t="s">
        <v>53</v>
      </c>
      <c r="E2" s="129"/>
      <c r="F2" s="93">
        <v>750000</v>
      </c>
      <c r="H2" s="98"/>
      <c r="I2" s="132"/>
      <c r="J2" s="133"/>
    </row>
    <row r="3" spans="1:11">
      <c r="A3" s="92" t="s">
        <v>51</v>
      </c>
      <c r="B3" s="93">
        <v>735000</v>
      </c>
      <c r="D3" s="129" t="s">
        <v>54</v>
      </c>
      <c r="E3" s="129"/>
      <c r="F3" s="93">
        <v>750000</v>
      </c>
    </row>
    <row r="4" spans="1:11">
      <c r="A4" s="92" t="s">
        <v>57</v>
      </c>
      <c r="B4" s="93">
        <v>750000</v>
      </c>
      <c r="D4" s="129" t="s">
        <v>55</v>
      </c>
      <c r="E4" s="129"/>
      <c r="F4" s="93">
        <v>780000</v>
      </c>
      <c r="H4" s="134" t="s">
        <v>62</v>
      </c>
      <c r="I4" s="135"/>
      <c r="J4" s="95">
        <f>B1+B2+B3+B4+F1+F2+F3+F4+I1+I2</f>
        <v>7130000</v>
      </c>
    </row>
    <row r="5" spans="1:11" ht="16.2" thickBot="1">
      <c r="A5" s="90"/>
      <c r="B5" s="89"/>
      <c r="C5" s="91"/>
      <c r="G5" s="91"/>
    </row>
    <row r="6" spans="1:11" ht="16.8" thickTop="1" thickBot="1">
      <c r="A6" s="138" t="s">
        <v>42</v>
      </c>
      <c r="B6" s="139"/>
      <c r="C6" s="139"/>
      <c r="D6" s="139"/>
      <c r="E6" s="139"/>
      <c r="F6" s="139"/>
      <c r="G6" s="139"/>
      <c r="H6" s="139"/>
      <c r="I6" s="139"/>
      <c r="J6" s="139"/>
      <c r="K6" s="140"/>
    </row>
    <row r="7" spans="1:11" s="10" customFormat="1" ht="16.2" thickTop="1">
      <c r="A7" s="136" t="s">
        <v>43</v>
      </c>
      <c r="B7" s="137"/>
      <c r="C7" s="137"/>
      <c r="D7" s="73"/>
      <c r="E7" s="73"/>
      <c r="F7" s="75"/>
      <c r="G7" s="70" t="s">
        <v>44</v>
      </c>
      <c r="H7" s="71"/>
      <c r="I7" s="71"/>
      <c r="J7" s="71"/>
      <c r="K7" s="72"/>
    </row>
    <row r="8" spans="1:11" s="3" customFormat="1" ht="33" customHeight="1">
      <c r="A8" s="29" t="s">
        <v>61</v>
      </c>
      <c r="B8" s="12" t="s">
        <v>0</v>
      </c>
      <c r="C8" s="106" t="s">
        <v>37</v>
      </c>
      <c r="D8" s="107"/>
      <c r="E8" s="68" t="s">
        <v>36</v>
      </c>
      <c r="F8" s="74"/>
      <c r="G8" s="19" t="str">
        <f t="shared" ref="G8:I9" si="0">A8</f>
        <v>Апартотель
9 апартаментов</v>
      </c>
      <c r="H8" s="14" t="str">
        <f t="shared" si="0"/>
        <v>Цена</v>
      </c>
      <c r="I8" s="116" t="str">
        <f t="shared" si="0"/>
        <v>Налоги и расходы на покупку</v>
      </c>
      <c r="J8" s="107"/>
      <c r="K8" s="42"/>
    </row>
    <row r="9" spans="1:11" s="3" customFormat="1" ht="15.45" customHeight="1" thickBot="1">
      <c r="A9" s="62" t="s">
        <v>60</v>
      </c>
      <c r="B9" s="63">
        <f>J4</f>
        <v>7130000</v>
      </c>
      <c r="C9" s="76">
        <v>0.13500000000000001</v>
      </c>
      <c r="D9" s="64">
        <f>B9*C9</f>
        <v>962550.00000000012</v>
      </c>
      <c r="E9" s="69">
        <f>B9*40%</f>
        <v>2852000</v>
      </c>
      <c r="F9" s="74"/>
      <c r="G9" s="65" t="str">
        <f t="shared" si="0"/>
        <v>27 спален</v>
      </c>
      <c r="H9" s="63">
        <f t="shared" si="0"/>
        <v>7130000</v>
      </c>
      <c r="I9" s="76">
        <f t="shared" si="0"/>
        <v>0.13500000000000001</v>
      </c>
      <c r="J9" s="64">
        <f>H9*I9</f>
        <v>962550.00000000012</v>
      </c>
      <c r="K9" s="43"/>
    </row>
    <row r="10" spans="1:11" s="3" customFormat="1" ht="35.4" customHeight="1" thickBot="1">
      <c r="A10" s="126" t="s">
        <v>45</v>
      </c>
      <c r="B10" s="124"/>
      <c r="C10" s="124"/>
      <c r="D10" s="125"/>
      <c r="E10" s="44">
        <f>E9+D9</f>
        <v>3814550</v>
      </c>
      <c r="F10" s="67"/>
      <c r="G10" s="123" t="s">
        <v>46</v>
      </c>
      <c r="H10" s="124"/>
      <c r="I10" s="124"/>
      <c r="J10" s="125"/>
      <c r="K10" s="77">
        <f>H9+J9</f>
        <v>8092550</v>
      </c>
    </row>
    <row r="11" spans="1:11" s="3" customFormat="1" ht="30" customHeight="1" thickBot="1">
      <c r="A11" s="108" t="s">
        <v>47</v>
      </c>
      <c r="B11" s="109"/>
      <c r="C11" s="109"/>
      <c r="D11" s="110"/>
      <c r="E11" s="45">
        <f>B9+D9</f>
        <v>8092550</v>
      </c>
      <c r="G11" s="108" t="str">
        <f>A11</f>
        <v>Общая стоимость апартотеля вместе с налогами и расходами на покупку</v>
      </c>
      <c r="H11" s="109"/>
      <c r="I11" s="109"/>
      <c r="J11" s="110"/>
      <c r="K11" s="78">
        <f>H9+J9</f>
        <v>8092550</v>
      </c>
    </row>
    <row r="12" spans="1:11" s="3" customFormat="1" ht="29.4" customHeight="1" thickBot="1">
      <c r="A12" s="119" t="s">
        <v>1</v>
      </c>
      <c r="B12" s="121" t="s">
        <v>2</v>
      </c>
      <c r="C12" s="111" t="s">
        <v>63</v>
      </c>
      <c r="D12" s="112"/>
      <c r="E12" s="113"/>
      <c r="F12" s="30"/>
      <c r="G12" s="119" t="str">
        <f>A12</f>
        <v>месяцы</v>
      </c>
      <c r="H12" s="121" t="str">
        <f>B12</f>
        <v>дни</v>
      </c>
      <c r="I12" s="111" t="str">
        <f>C12</f>
        <v>стоимость аренды за 9 апартаментов</v>
      </c>
      <c r="J12" s="112"/>
      <c r="K12" s="113"/>
    </row>
    <row r="13" spans="1:11" s="3" customFormat="1" ht="15" thickBot="1">
      <c r="A13" s="120"/>
      <c r="B13" s="122"/>
      <c r="C13" s="4" t="s">
        <v>32</v>
      </c>
      <c r="D13" s="4" t="s">
        <v>3</v>
      </c>
      <c r="E13" s="4" t="s">
        <v>4</v>
      </c>
      <c r="F13" s="31"/>
      <c r="G13" s="120"/>
      <c r="H13" s="122"/>
      <c r="I13" s="4" t="str">
        <f>C13</f>
        <v>за сутки</v>
      </c>
      <c r="J13" s="4" t="str">
        <f>D13</f>
        <v>за неделю</v>
      </c>
      <c r="K13" s="79" t="str">
        <f>E13</f>
        <v>за месяц</v>
      </c>
    </row>
    <row r="14" spans="1:11" s="3" customFormat="1" ht="14.4">
      <c r="A14" s="21" t="s">
        <v>5</v>
      </c>
      <c r="B14" s="5">
        <v>31</v>
      </c>
      <c r="C14" s="46">
        <f>850+600+600+850+900+850+850+900+700</f>
        <v>7100</v>
      </c>
      <c r="D14" s="46">
        <f t="shared" ref="D14:D25" si="1">C14*7</f>
        <v>49700</v>
      </c>
      <c r="E14" s="46">
        <f>B14*C14</f>
        <v>220100</v>
      </c>
      <c r="F14" s="32"/>
      <c r="G14" s="21" t="str">
        <f t="shared" ref="G14:G25" si="2">A14</f>
        <v>январь</v>
      </c>
      <c r="H14" s="5">
        <f t="shared" ref="H14:H25" si="3">B14</f>
        <v>31</v>
      </c>
      <c r="I14" s="46">
        <f>C14</f>
        <v>7100</v>
      </c>
      <c r="J14" s="46">
        <f>I14*7</f>
        <v>49700</v>
      </c>
      <c r="K14" s="80">
        <f>H14*I14</f>
        <v>220100</v>
      </c>
    </row>
    <row r="15" spans="1:11" s="3" customFormat="1" ht="14.4">
      <c r="A15" s="22" t="s">
        <v>6</v>
      </c>
      <c r="B15" s="7">
        <v>28</v>
      </c>
      <c r="C15" s="47">
        <f>850+600+600+850+900+850+850+900+700</f>
        <v>7100</v>
      </c>
      <c r="D15" s="47">
        <f t="shared" si="1"/>
        <v>49700</v>
      </c>
      <c r="E15" s="47">
        <f t="shared" ref="E15:E25" si="4">B15*C15</f>
        <v>198800</v>
      </c>
      <c r="F15" s="32"/>
      <c r="G15" s="22" t="str">
        <f t="shared" si="2"/>
        <v>февраль</v>
      </c>
      <c r="H15" s="7">
        <f t="shared" si="3"/>
        <v>28</v>
      </c>
      <c r="I15" s="47">
        <f t="shared" ref="I15:I25" si="5">C15</f>
        <v>7100</v>
      </c>
      <c r="J15" s="47">
        <f t="shared" ref="J15:J25" si="6">I15*7</f>
        <v>49700</v>
      </c>
      <c r="K15" s="81">
        <f t="shared" ref="K15:K25" si="7">H15*I15</f>
        <v>198800</v>
      </c>
    </row>
    <row r="16" spans="1:11" s="3" customFormat="1" ht="14.4">
      <c r="A16" s="22" t="s">
        <v>7</v>
      </c>
      <c r="B16" s="7">
        <v>31</v>
      </c>
      <c r="C16" s="47">
        <f>1150+900+900+1150+1200+1150+1150+1200+1100</f>
        <v>9900</v>
      </c>
      <c r="D16" s="47">
        <f t="shared" si="1"/>
        <v>69300</v>
      </c>
      <c r="E16" s="47">
        <f t="shared" si="4"/>
        <v>306900</v>
      </c>
      <c r="F16" s="32"/>
      <c r="G16" s="22" t="str">
        <f t="shared" si="2"/>
        <v>март</v>
      </c>
      <c r="H16" s="7">
        <f t="shared" si="3"/>
        <v>31</v>
      </c>
      <c r="I16" s="47">
        <f t="shared" si="5"/>
        <v>9900</v>
      </c>
      <c r="J16" s="47">
        <f t="shared" si="6"/>
        <v>69300</v>
      </c>
      <c r="K16" s="81">
        <f t="shared" si="7"/>
        <v>306900</v>
      </c>
    </row>
    <row r="17" spans="1:11" s="3" customFormat="1" ht="14.4">
      <c r="A17" s="23" t="s">
        <v>8</v>
      </c>
      <c r="B17" s="8">
        <v>30</v>
      </c>
      <c r="C17" s="48">
        <f>1250+1000+1000+1250+1300+1250+1250+1300+1200</f>
        <v>10800</v>
      </c>
      <c r="D17" s="47">
        <f t="shared" si="1"/>
        <v>75600</v>
      </c>
      <c r="E17" s="47">
        <f t="shared" si="4"/>
        <v>324000</v>
      </c>
      <c r="F17" s="32"/>
      <c r="G17" s="23" t="str">
        <f t="shared" si="2"/>
        <v>апрель</v>
      </c>
      <c r="H17" s="8">
        <f t="shared" si="3"/>
        <v>30</v>
      </c>
      <c r="I17" s="59">
        <f t="shared" si="5"/>
        <v>10800</v>
      </c>
      <c r="J17" s="47">
        <f t="shared" si="6"/>
        <v>75600</v>
      </c>
      <c r="K17" s="81">
        <f t="shared" si="7"/>
        <v>324000</v>
      </c>
    </row>
    <row r="18" spans="1:11" s="3" customFormat="1" ht="14.4">
      <c r="A18" s="23" t="s">
        <v>9</v>
      </c>
      <c r="B18" s="8">
        <v>31</v>
      </c>
      <c r="C18" s="48">
        <f>1450+1200+1200+1450+1500+1450+1450+1500+1300</f>
        <v>12500</v>
      </c>
      <c r="D18" s="47">
        <f t="shared" si="1"/>
        <v>87500</v>
      </c>
      <c r="E18" s="47">
        <f t="shared" si="4"/>
        <v>387500</v>
      </c>
      <c r="F18" s="32"/>
      <c r="G18" s="23" t="str">
        <f t="shared" si="2"/>
        <v>май</v>
      </c>
      <c r="H18" s="8">
        <f t="shared" si="3"/>
        <v>31</v>
      </c>
      <c r="I18" s="59">
        <f t="shared" si="5"/>
        <v>12500</v>
      </c>
      <c r="J18" s="47">
        <f t="shared" si="6"/>
        <v>87500</v>
      </c>
      <c r="K18" s="81">
        <f t="shared" si="7"/>
        <v>387500</v>
      </c>
    </row>
    <row r="19" spans="1:11" s="3" customFormat="1" ht="14.4">
      <c r="A19" s="24" t="s">
        <v>10</v>
      </c>
      <c r="B19" s="9">
        <v>30</v>
      </c>
      <c r="C19" s="49">
        <f>1500+1250+1250+1500+1550+1500+1500+1550+1350</f>
        <v>12950</v>
      </c>
      <c r="D19" s="47">
        <f t="shared" si="1"/>
        <v>90650</v>
      </c>
      <c r="E19" s="47">
        <f t="shared" si="4"/>
        <v>388500</v>
      </c>
      <c r="F19" s="32"/>
      <c r="G19" s="24" t="str">
        <f t="shared" si="2"/>
        <v>июнь</v>
      </c>
      <c r="H19" s="9">
        <f t="shared" si="3"/>
        <v>30</v>
      </c>
      <c r="I19" s="60">
        <f t="shared" si="5"/>
        <v>12950</v>
      </c>
      <c r="J19" s="47">
        <f t="shared" si="6"/>
        <v>90650</v>
      </c>
      <c r="K19" s="81">
        <f t="shared" si="7"/>
        <v>388500</v>
      </c>
    </row>
    <row r="20" spans="1:11" s="3" customFormat="1" ht="14.4">
      <c r="A20" s="24" t="s">
        <v>11</v>
      </c>
      <c r="B20" s="9">
        <v>31</v>
      </c>
      <c r="C20" s="49">
        <f>1550+1300+1300+1550+1600+1550+1550+1600+1400</f>
        <v>13400</v>
      </c>
      <c r="D20" s="47">
        <f t="shared" si="1"/>
        <v>93800</v>
      </c>
      <c r="E20" s="47">
        <f t="shared" si="4"/>
        <v>415400</v>
      </c>
      <c r="F20" s="32"/>
      <c r="G20" s="24" t="str">
        <f t="shared" si="2"/>
        <v>июль</v>
      </c>
      <c r="H20" s="9">
        <f t="shared" si="3"/>
        <v>31</v>
      </c>
      <c r="I20" s="60">
        <f t="shared" si="5"/>
        <v>13400</v>
      </c>
      <c r="J20" s="47">
        <f t="shared" si="6"/>
        <v>93800</v>
      </c>
      <c r="K20" s="81">
        <f t="shared" si="7"/>
        <v>415400</v>
      </c>
    </row>
    <row r="21" spans="1:11" s="3" customFormat="1" ht="14.4">
      <c r="A21" s="24" t="s">
        <v>12</v>
      </c>
      <c r="B21" s="9">
        <v>31</v>
      </c>
      <c r="C21" s="49">
        <f>1550+1300+1300+1550+1600+1550+1550+1600+1400</f>
        <v>13400</v>
      </c>
      <c r="D21" s="47">
        <f t="shared" si="1"/>
        <v>93800</v>
      </c>
      <c r="E21" s="47">
        <f t="shared" si="4"/>
        <v>415400</v>
      </c>
      <c r="F21" s="32"/>
      <c r="G21" s="24" t="str">
        <f t="shared" si="2"/>
        <v>август</v>
      </c>
      <c r="H21" s="9">
        <f t="shared" si="3"/>
        <v>31</v>
      </c>
      <c r="I21" s="60">
        <f t="shared" si="5"/>
        <v>13400</v>
      </c>
      <c r="J21" s="47">
        <f t="shared" si="6"/>
        <v>93800</v>
      </c>
      <c r="K21" s="81">
        <f t="shared" si="7"/>
        <v>415400</v>
      </c>
    </row>
    <row r="22" spans="1:11" s="3" customFormat="1" ht="14.4">
      <c r="A22" s="23" t="s">
        <v>13</v>
      </c>
      <c r="B22" s="8">
        <v>30</v>
      </c>
      <c r="C22" s="48">
        <f>1450+1200+1200+1450+1500+1450+1450+1500+1300</f>
        <v>12500</v>
      </c>
      <c r="D22" s="47">
        <f t="shared" si="1"/>
        <v>87500</v>
      </c>
      <c r="E22" s="47">
        <f t="shared" si="4"/>
        <v>375000</v>
      </c>
      <c r="F22" s="96"/>
      <c r="G22" s="23" t="str">
        <f t="shared" si="2"/>
        <v>сентябрь</v>
      </c>
      <c r="H22" s="8">
        <f t="shared" si="3"/>
        <v>30</v>
      </c>
      <c r="I22" s="59">
        <f t="shared" si="5"/>
        <v>12500</v>
      </c>
      <c r="J22" s="47">
        <f t="shared" si="6"/>
        <v>87500</v>
      </c>
      <c r="K22" s="81">
        <f t="shared" si="7"/>
        <v>375000</v>
      </c>
    </row>
    <row r="23" spans="1:11" s="3" customFormat="1" ht="14.4">
      <c r="A23" s="23" t="s">
        <v>14</v>
      </c>
      <c r="B23" s="8">
        <v>31</v>
      </c>
      <c r="C23" s="48">
        <f>1350+1100+1100+1350+1400+1350+1350+1400+1200</f>
        <v>11600</v>
      </c>
      <c r="D23" s="47">
        <f t="shared" si="1"/>
        <v>81200</v>
      </c>
      <c r="E23" s="47">
        <f t="shared" si="4"/>
        <v>359600</v>
      </c>
      <c r="F23" s="32"/>
      <c r="G23" s="23" t="str">
        <f t="shared" si="2"/>
        <v>октябрь</v>
      </c>
      <c r="H23" s="8">
        <f t="shared" si="3"/>
        <v>31</v>
      </c>
      <c r="I23" s="59">
        <f t="shared" si="5"/>
        <v>11600</v>
      </c>
      <c r="J23" s="47">
        <f t="shared" si="6"/>
        <v>81200</v>
      </c>
      <c r="K23" s="81">
        <f t="shared" si="7"/>
        <v>359600</v>
      </c>
    </row>
    <row r="24" spans="1:11" s="3" customFormat="1" ht="14.4">
      <c r="A24" s="22" t="s">
        <v>15</v>
      </c>
      <c r="B24" s="7">
        <v>30</v>
      </c>
      <c r="C24" s="47">
        <f>850+600+600+850+900+850+850+900+700</f>
        <v>7100</v>
      </c>
      <c r="D24" s="47">
        <f t="shared" si="1"/>
        <v>49700</v>
      </c>
      <c r="E24" s="47">
        <f t="shared" si="4"/>
        <v>213000</v>
      </c>
      <c r="F24" s="32"/>
      <c r="G24" s="22" t="str">
        <f t="shared" si="2"/>
        <v>ноябрь</v>
      </c>
      <c r="H24" s="7">
        <f t="shared" si="3"/>
        <v>30</v>
      </c>
      <c r="I24" s="47">
        <f t="shared" si="5"/>
        <v>7100</v>
      </c>
      <c r="J24" s="47">
        <f t="shared" si="6"/>
        <v>49700</v>
      </c>
      <c r="K24" s="81">
        <f t="shared" si="7"/>
        <v>213000</v>
      </c>
    </row>
    <row r="25" spans="1:11" s="3" customFormat="1" ht="14.4">
      <c r="A25" s="22" t="s">
        <v>16</v>
      </c>
      <c r="B25" s="7">
        <v>31</v>
      </c>
      <c r="C25" s="47">
        <f>850+600+600+850+900+850+850+900+700</f>
        <v>7100</v>
      </c>
      <c r="D25" s="47">
        <f t="shared" si="1"/>
        <v>49700</v>
      </c>
      <c r="E25" s="47">
        <f t="shared" si="4"/>
        <v>220100</v>
      </c>
      <c r="F25" s="32"/>
      <c r="G25" s="22" t="str">
        <f t="shared" si="2"/>
        <v>декабрь</v>
      </c>
      <c r="H25" s="7">
        <f t="shared" si="3"/>
        <v>31</v>
      </c>
      <c r="I25" s="47">
        <f t="shared" si="5"/>
        <v>7100</v>
      </c>
      <c r="J25" s="47">
        <f t="shared" si="6"/>
        <v>49700</v>
      </c>
      <c r="K25" s="81">
        <f t="shared" si="7"/>
        <v>220100</v>
      </c>
    </row>
    <row r="26" spans="1:11" s="3" customFormat="1">
      <c r="A26" s="104">
        <f>SUM(B14:B25)</f>
        <v>365</v>
      </c>
      <c r="B26" s="105"/>
      <c r="C26" s="99">
        <f>SUM(E14:E25)</f>
        <v>3824300</v>
      </c>
      <c r="D26" s="100"/>
      <c r="E26" s="101"/>
      <c r="F26" s="33"/>
      <c r="G26" s="104">
        <f>SUM(H14:H25)</f>
        <v>365</v>
      </c>
      <c r="H26" s="105"/>
      <c r="I26" s="99">
        <f>SUM(K14:K25)</f>
        <v>3824300</v>
      </c>
      <c r="J26" s="100"/>
      <c r="K26" s="117"/>
    </row>
    <row r="27" spans="1:11" s="3" customFormat="1" ht="14.4">
      <c r="A27" s="25" t="s">
        <v>26</v>
      </c>
      <c r="B27" s="6" t="s">
        <v>17</v>
      </c>
      <c r="C27" s="39">
        <v>0.8</v>
      </c>
      <c r="D27" s="7">
        <v>0.8</v>
      </c>
      <c r="E27" s="50">
        <f>C26*D27</f>
        <v>3059440</v>
      </c>
      <c r="F27" s="34"/>
      <c r="G27" s="25" t="str">
        <f>A27</f>
        <v>ДОХОД1</v>
      </c>
      <c r="H27" s="6" t="str">
        <f>B27</f>
        <v>заполняемость</v>
      </c>
      <c r="I27" s="39">
        <f>C27</f>
        <v>0.8</v>
      </c>
      <c r="J27" s="7">
        <f>D27</f>
        <v>0.8</v>
      </c>
      <c r="K27" s="82">
        <f>I26*J27</f>
        <v>3059440</v>
      </c>
    </row>
    <row r="28" spans="1:11" s="3" customFormat="1">
      <c r="A28" s="102" t="s">
        <v>18</v>
      </c>
      <c r="B28" s="103"/>
      <c r="C28" s="40">
        <v>0.2</v>
      </c>
      <c r="D28" s="41">
        <v>0.2</v>
      </c>
      <c r="E28" s="51">
        <f>E27*D28</f>
        <v>611888</v>
      </c>
      <c r="F28" s="35"/>
      <c r="G28" s="118" t="str">
        <f>A28</f>
        <v>управление, реклама</v>
      </c>
      <c r="H28" s="105"/>
      <c r="I28" s="40">
        <f>C28</f>
        <v>0.2</v>
      </c>
      <c r="J28" s="41">
        <f>D28</f>
        <v>0.2</v>
      </c>
      <c r="K28" s="83">
        <f>K27*J28</f>
        <v>611888</v>
      </c>
    </row>
    <row r="29" spans="1:11" s="3" customFormat="1" ht="14.4">
      <c r="A29" s="36" t="s">
        <v>19</v>
      </c>
      <c r="B29" s="11" t="s">
        <v>20</v>
      </c>
      <c r="C29" s="66">
        <f>300*9</f>
        <v>2700</v>
      </c>
      <c r="D29" s="41">
        <v>12</v>
      </c>
      <c r="E29" s="97">
        <f>C29*D29</f>
        <v>32400</v>
      </c>
      <c r="F29" s="35"/>
      <c r="G29" s="26" t="str">
        <f t="shared" ref="G29:G34" si="8">A29</f>
        <v>эл/вода</v>
      </c>
      <c r="H29" s="11" t="str">
        <f>B29</f>
        <v>в месяц</v>
      </c>
      <c r="I29" s="66">
        <f>C29</f>
        <v>2700</v>
      </c>
      <c r="J29" s="41">
        <f>D29</f>
        <v>12</v>
      </c>
      <c r="K29" s="83">
        <f>I29*J29</f>
        <v>32400</v>
      </c>
    </row>
    <row r="30" spans="1:11" s="3" customFormat="1">
      <c r="A30" s="36" t="s">
        <v>21</v>
      </c>
      <c r="B30" s="114" t="s">
        <v>25</v>
      </c>
      <c r="C30" s="115"/>
      <c r="D30" s="105"/>
      <c r="E30" s="97">
        <f>1200*9</f>
        <v>10800</v>
      </c>
      <c r="F30" s="35"/>
      <c r="G30" s="26" t="str">
        <f t="shared" si="8"/>
        <v>налог</v>
      </c>
      <c r="H30" s="114" t="str">
        <f>B30</f>
        <v>в год</v>
      </c>
      <c r="I30" s="115"/>
      <c r="J30" s="105"/>
      <c r="K30" s="83">
        <f>E30</f>
        <v>10800</v>
      </c>
    </row>
    <row r="31" spans="1:11" s="3" customFormat="1" ht="28.8">
      <c r="A31" s="37" t="s">
        <v>33</v>
      </c>
      <c r="B31" s="11" t="s">
        <v>20</v>
      </c>
      <c r="C31" s="66">
        <f>200*9</f>
        <v>1800</v>
      </c>
      <c r="D31" s="41">
        <v>12</v>
      </c>
      <c r="E31" s="97">
        <f>C31*D31</f>
        <v>21600</v>
      </c>
      <c r="F31" s="35"/>
      <c r="G31" s="27" t="str">
        <f t="shared" si="8"/>
        <v>комунидад+ интернет</v>
      </c>
      <c r="H31" s="11" t="str">
        <f>B31</f>
        <v>в месяц</v>
      </c>
      <c r="I31" s="66">
        <f>C31</f>
        <v>1800</v>
      </c>
      <c r="J31" s="41">
        <f>D31</f>
        <v>12</v>
      </c>
      <c r="K31" s="83">
        <f>I31*J31</f>
        <v>21600</v>
      </c>
    </row>
    <row r="32" spans="1:11" s="3" customFormat="1">
      <c r="A32" s="36" t="s">
        <v>31</v>
      </c>
      <c r="B32" s="114" t="s">
        <v>25</v>
      </c>
      <c r="C32" s="115"/>
      <c r="D32" s="105"/>
      <c r="E32" s="97">
        <f>600*9</f>
        <v>5400</v>
      </c>
      <c r="F32" s="35"/>
      <c r="G32" s="26" t="str">
        <f t="shared" si="8"/>
        <v>страховка</v>
      </c>
      <c r="H32" s="114" t="str">
        <f>B32</f>
        <v>в год</v>
      </c>
      <c r="I32" s="115"/>
      <c r="J32" s="105"/>
      <c r="K32" s="83">
        <f>E32</f>
        <v>5400</v>
      </c>
    </row>
    <row r="33" spans="1:11" s="3" customFormat="1">
      <c r="A33" s="37" t="s">
        <v>27</v>
      </c>
      <c r="B33" s="114" t="s">
        <v>25</v>
      </c>
      <c r="C33" s="115"/>
      <c r="D33" s="105"/>
      <c r="E33" s="52">
        <f>SUM(E28:E32)</f>
        <v>682088</v>
      </c>
      <c r="F33" s="33"/>
      <c r="G33" s="27" t="str">
        <f t="shared" si="8"/>
        <v>Итого расходы</v>
      </c>
      <c r="H33" s="114" t="str">
        <f>B33</f>
        <v>в год</v>
      </c>
      <c r="I33" s="115"/>
      <c r="J33" s="105"/>
      <c r="K33" s="82">
        <f>SUM(K28:K32)</f>
        <v>682088</v>
      </c>
    </row>
    <row r="34" spans="1:11" s="3" customFormat="1" ht="16.2" thickBot="1">
      <c r="A34" s="162" t="s">
        <v>28</v>
      </c>
      <c r="B34" s="115"/>
      <c r="C34" s="115"/>
      <c r="D34" s="105"/>
      <c r="E34" s="53">
        <f>E27-E33</f>
        <v>2377352</v>
      </c>
      <c r="F34" s="33"/>
      <c r="G34" s="162" t="str">
        <f t="shared" si="8"/>
        <v>ДОХОД2</v>
      </c>
      <c r="H34" s="115"/>
      <c r="I34" s="115"/>
      <c r="J34" s="105"/>
      <c r="K34" s="84">
        <f>K27-K33</f>
        <v>2377352</v>
      </c>
    </row>
    <row r="35" spans="1:11" s="2" customFormat="1" ht="30.6" customHeight="1" thickTop="1" thickBot="1">
      <c r="A35" s="163" t="s">
        <v>38</v>
      </c>
      <c r="B35" s="164"/>
      <c r="C35" s="164"/>
      <c r="D35" s="165"/>
      <c r="E35" s="18">
        <f>E34*100%/E10</f>
        <v>0.62323262245874345</v>
      </c>
      <c r="F35" s="34"/>
      <c r="G35" s="166" t="s">
        <v>35</v>
      </c>
      <c r="H35" s="167"/>
      <c r="I35" s="167"/>
      <c r="J35" s="168"/>
      <c r="K35" s="18">
        <f>K34*100%/K10</f>
        <v>0.29377044318539891</v>
      </c>
    </row>
    <row r="36" spans="1:11" s="2" customFormat="1" ht="15" thickTop="1">
      <c r="A36" s="160" t="s">
        <v>21</v>
      </c>
      <c r="B36" s="161"/>
      <c r="C36" s="13">
        <v>0.24</v>
      </c>
      <c r="D36" s="14">
        <v>0.24</v>
      </c>
      <c r="E36" s="54">
        <f>E27*D36</f>
        <v>734265.6</v>
      </c>
      <c r="F36" s="35"/>
      <c r="G36" s="160" t="str">
        <f>A36</f>
        <v>налог</v>
      </c>
      <c r="H36" s="161"/>
      <c r="I36" s="13">
        <f>C36</f>
        <v>0.24</v>
      </c>
      <c r="J36" s="14">
        <f>D36</f>
        <v>0.24</v>
      </c>
      <c r="K36" s="85">
        <f>K27*J36</f>
        <v>734265.6</v>
      </c>
    </row>
    <row r="37" spans="1:11" s="2" customFormat="1" ht="16.2" thickBot="1">
      <c r="A37" s="146" t="s">
        <v>29</v>
      </c>
      <c r="B37" s="115"/>
      <c r="C37" s="115"/>
      <c r="D37" s="105"/>
      <c r="E37" s="55">
        <f>E34-E36</f>
        <v>1643086.4</v>
      </c>
      <c r="F37" s="34"/>
      <c r="G37" s="146" t="s">
        <v>30</v>
      </c>
      <c r="H37" s="115"/>
      <c r="I37" s="115"/>
      <c r="J37" s="105"/>
      <c r="K37" s="86">
        <f>K34-K36</f>
        <v>1643086.4</v>
      </c>
    </row>
    <row r="38" spans="1:11" s="2" customFormat="1" ht="28.2" customHeight="1" thickTop="1" thickBot="1">
      <c r="A38" s="127" t="s">
        <v>34</v>
      </c>
      <c r="B38" s="147"/>
      <c r="C38" s="147"/>
      <c r="D38" s="148"/>
      <c r="E38" s="18">
        <f>E37*100%/E10</f>
        <v>0.43074186994534086</v>
      </c>
      <c r="F38" s="28"/>
      <c r="G38" s="141" t="s">
        <v>34</v>
      </c>
      <c r="H38" s="142"/>
      <c r="I38" s="142"/>
      <c r="J38" s="143"/>
      <c r="K38" s="18">
        <f>K37*100%/K10</f>
        <v>0.2030369166702708</v>
      </c>
    </row>
    <row r="39" spans="1:11" s="2" customFormat="1" ht="69.599999999999994" customHeight="1" thickTop="1">
      <c r="A39" s="127" t="s">
        <v>48</v>
      </c>
      <c r="B39" s="128"/>
      <c r="C39" s="15" t="s">
        <v>24</v>
      </c>
      <c r="D39" s="16">
        <v>3.5999999999999997E-2</v>
      </c>
      <c r="E39" s="56">
        <f>C40*12</f>
        <v>300372.83999999997</v>
      </c>
      <c r="F39" s="155" t="s">
        <v>22</v>
      </c>
    </row>
    <row r="40" spans="1:11" s="2" customFormat="1">
      <c r="A40" s="149" t="s">
        <v>39</v>
      </c>
      <c r="B40" s="105"/>
      <c r="C40" s="61">
        <v>25031.07</v>
      </c>
      <c r="D40" s="17"/>
      <c r="E40" s="57"/>
      <c r="F40" s="156"/>
    </row>
    <row r="41" spans="1:11" s="3" customFormat="1" ht="30" customHeight="1" thickBot="1">
      <c r="A41" s="157" t="s">
        <v>40</v>
      </c>
      <c r="B41" s="158"/>
      <c r="C41" s="158"/>
      <c r="D41" s="159"/>
      <c r="E41" s="58">
        <f>E37-E39</f>
        <v>1342713.56</v>
      </c>
      <c r="F41" s="20"/>
    </row>
    <row r="42" spans="1:11" s="2" customFormat="1" ht="28.2" customHeight="1" thickTop="1" thickBot="1">
      <c r="A42" s="152" t="s">
        <v>41</v>
      </c>
      <c r="B42" s="153"/>
      <c r="C42" s="153"/>
      <c r="D42" s="154"/>
      <c r="E42" s="18">
        <f>E41*100%/E10</f>
        <v>0.35199789228087192</v>
      </c>
      <c r="F42" s="38" t="s">
        <v>23</v>
      </c>
    </row>
    <row r="43" spans="1:11" ht="16.2" thickTop="1"/>
    <row r="44" spans="1:11" ht="30.6" customHeight="1">
      <c r="A44" s="144" t="s">
        <v>59</v>
      </c>
      <c r="B44" s="145"/>
      <c r="C44" s="145"/>
      <c r="D44" s="145"/>
      <c r="E44" s="87">
        <f>(E10+E39)/E41</f>
        <v>3.064631923431234</v>
      </c>
      <c r="F44" s="88"/>
      <c r="G44" s="150" t="s">
        <v>58</v>
      </c>
      <c r="H44" s="150"/>
      <c r="I44" s="150"/>
      <c r="J44" s="151"/>
      <c r="K44" s="87">
        <f>K10/K37</f>
        <v>4.9252126972750796</v>
      </c>
    </row>
  </sheetData>
  <mergeCells count="50">
    <mergeCell ref="H30:J30"/>
    <mergeCell ref="G35:J35"/>
    <mergeCell ref="G34:J34"/>
    <mergeCell ref="A41:D41"/>
    <mergeCell ref="G36:H36"/>
    <mergeCell ref="A36:B36"/>
    <mergeCell ref="B33:D33"/>
    <mergeCell ref="H32:J32"/>
    <mergeCell ref="A34:D34"/>
    <mergeCell ref="A35:D35"/>
    <mergeCell ref="A6:K6"/>
    <mergeCell ref="G38:J38"/>
    <mergeCell ref="A44:D44"/>
    <mergeCell ref="G37:J37"/>
    <mergeCell ref="A38:D38"/>
    <mergeCell ref="A37:D37"/>
    <mergeCell ref="A40:B40"/>
    <mergeCell ref="G44:J44"/>
    <mergeCell ref="A42:D42"/>
    <mergeCell ref="F39:F40"/>
    <mergeCell ref="C12:E12"/>
    <mergeCell ref="A39:B39"/>
    <mergeCell ref="D3:E3"/>
    <mergeCell ref="I1:J1"/>
    <mergeCell ref="I2:J2"/>
    <mergeCell ref="D1:E1"/>
    <mergeCell ref="D2:E2"/>
    <mergeCell ref="H4:I4"/>
    <mergeCell ref="A7:C7"/>
    <mergeCell ref="D4:E4"/>
    <mergeCell ref="H33:J33"/>
    <mergeCell ref="B32:D32"/>
    <mergeCell ref="I8:J8"/>
    <mergeCell ref="I26:K26"/>
    <mergeCell ref="B30:D30"/>
    <mergeCell ref="G26:H26"/>
    <mergeCell ref="G28:H28"/>
    <mergeCell ref="G12:G13"/>
    <mergeCell ref="H12:H13"/>
    <mergeCell ref="G10:J10"/>
    <mergeCell ref="C26:E26"/>
    <mergeCell ref="A28:B28"/>
    <mergeCell ref="A26:B26"/>
    <mergeCell ref="C8:D8"/>
    <mergeCell ref="G11:J11"/>
    <mergeCell ref="I12:K12"/>
    <mergeCell ref="B12:B13"/>
    <mergeCell ref="A10:D10"/>
    <mergeCell ref="A11:D11"/>
    <mergeCell ref="A12:A13"/>
  </mergeCells>
  <phoneticPr fontId="11" type="noConversion"/>
  <pageMargins left="0.51181102362204722" right="0.51181102362204722" top="0.55118110236220474" bottom="0.35433070866141736" header="0" footer="0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Рентабельность от аренды</vt:lpstr>
      <vt:lpstr>'Рентабельность от аренды'!Область_печати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2021-05-31T09:56:19Z</cp:lastPrinted>
  <dcterms:created xsi:type="dcterms:W3CDTF">2017-08-11T15:08:53Z</dcterms:created>
  <dcterms:modified xsi:type="dcterms:W3CDTF">2021-08-14T07:47:19Z</dcterms:modified>
</cp:coreProperties>
</file>